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<sst xmlns="http://schemas.openxmlformats.org/spreadsheetml/2006/main" count="1425" uniqueCount="216">
  <si>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</si>
  <si>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</si>
  <si>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</si>
  <si>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</si>
  <si>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</si>
  <si>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</si>
  <si>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</si>
  <si>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</si>
  <si>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</si>
  <si>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</si>
  <si>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</si>
  <si>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</si>
  <si>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</si>
  <si>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</si>
  <si>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</si>
  <si>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</si>
  <si>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</si>
  <si>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</si>
  <si>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</si>
  <si>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</si>
  <si>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</si>
  <si>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</si>
  <si>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</si>
  <si>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</si>
  <si>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</si>
  <si>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</si>
  <si>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</si>
  <si>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</si>
  <si>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</si>
  <si>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</si>
  <si>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</si>
  <si>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</si>
  <si>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</si>
  <si>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</si>
  <si>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</si>
  <si>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</si>
  <si>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</si>
  <si>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</si>
  <si>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</si>
  <si>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</si>
  <si>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</si>
  <si>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</si>
  <si>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</si>
  <si>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</si>
  <si>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</si>
  <si>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</si>
  <si>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</si>
  <si>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</si>
  <si>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</si>
  <si>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</si>
  <si>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</si>
  <si>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</si>
  <si>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</si>
  <si>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</si>
  <si>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</si>
  <si>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</si>
  <si>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</si>
  <si>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</si>
  <si>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</si>
  <si>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</si>
  <si>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</si>
  <si>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</si>
  <si>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</si>
  <si>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</si>
  <si>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</si>
  <si>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</si>
  <si>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</si>
  <si>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</si>
  <si>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</si>
  <si>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</si>
  <si>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</si>
  <si>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</si>
  <si>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</si>
  <si>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</si>
  <si>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</si>
  <si>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</si>
  <si>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</si>
  <si>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</si>
  <si>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</si>
  <si>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</si>
  <si>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</si>
  <si>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</si>
  <si>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</si>
  <si>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</si>
  <si>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</si>
  <si>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</si>
  <si>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</si>
  <si>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</si>
  <si>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</si>
  <si>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</si>
  <si>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</si>
  <si>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</si>
  <si>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</si>
  <si>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</si>
  <si>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</si>
  <si>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</si>
  <si>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</si>
  <si>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</si>
  <si>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</si>
  <si>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</si>
  <si>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</si>
  <si>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</si>
  <si>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</si>
  <si>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</si>
  <si>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</si>
  <si>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</si>
  <si>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</si>
  <si>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</si>
  <si>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</si>
  <si>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</si>
  <si>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</si>
  <si>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</si>
  <si>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</si>
  <si>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</si>
  <si>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</si>
  <si>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</si>
  <si>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</si>
  <si>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</si>
  <si>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</si>
  <si>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</si>
  <si>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</si>
  <si>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</si>
  <si>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</si>
  <si>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</si>
  <si>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</si>
  <si>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</si>
  <si>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</si>
  <si>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</si>
  <si>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</si>
  <si>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</si>
  <si>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</si>
  <si>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</si>
  <si>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</si>
  <si>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</si>
  <si>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</si>
  <si>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</si>
  <si>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</si>
  <si>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</si>
  <si>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</si>
  <si>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</si>
  <si>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</si>
  <si>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</si>
  <si>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</si>
  <si>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</si>
  <si>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</si>
  <si>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</si>
  <si>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</si>
  <si>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</si>
  <si>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</si>
  <si>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</si>
  <si>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</si>
  <si>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</si>
  <si>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</si>
  <si>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</si>
  <si>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</si>
  <si>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</si>
  <si>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</si>
  <si>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</si>
  <si>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</si>
  <si>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</si>
  <si>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</si>
  <si>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</si>
  <si>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</si>
  <si>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</si>
  <si>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</si>
  <si>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</si>
  <si>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</si>
  <si>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</si>
  <si>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</si>
  <si>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</si>
  <si>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</si>
  <si>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</si>
  <si>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</si>
  <si>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</si>
  <si>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</si>
  <si>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</si>
  <si>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</si>
  <si>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</si>
  <si>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</si>
  <si>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</si>
  <si>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</si>
  <si>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</si>
  <si>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</si>
  <si>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</si>
  <si>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</si>
  <si>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</si>
  <si>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</si>
  <si>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</si>
  <si>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</si>
  <si>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</si>
  <si>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</si>
  <si>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</si>
  <si>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</si>
  <si>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</si>
  <si>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</si>
  <si>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</si>
  <si>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</si>
  <si>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</si>
  <si>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</si>
  <si>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</si>
  <si>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</si>
  <si>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</si>
  <si>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</si>
  <si>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</si>
  <si>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</si>
  <si>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</si>
  <si>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</si>
  <si>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</si>
  <si>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</si>
  <si>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</si>
  <si>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</si>
  <si>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</si>
  <si>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</si>
  <si>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</si>
  <si>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</si>
  <si>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19.10.16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</si>
</sst>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816849.97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208</v>
      </c>
      <c r="O3" s="447" t="s">
        <v>209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210</v>
      </c>
      <c r="F4" s="430" t="s">
        <v>34</v>
      </c>
      <c r="G4" s="423" t="s">
        <v>211</v>
      </c>
      <c r="H4" s="432" t="s">
        <v>212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215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213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746500.05</v>
      </c>
      <c r="G8" s="191">
        <f aca="true" t="shared" si="0" ref="G8:G37">F8-E8</f>
        <v>-49175.87999999989</v>
      </c>
      <c r="H8" s="192">
        <f>F8/E8*100</f>
        <v>93.81960944828381</v>
      </c>
      <c r="I8" s="193">
        <f>F8-D8</f>
        <v>-210571.40000000002</v>
      </c>
      <c r="J8" s="193">
        <f>F8/D8*100</f>
        <v>77.99836156433253</v>
      </c>
      <c r="K8" s="191">
        <v>542586.23</v>
      </c>
      <c r="L8" s="191">
        <f aca="true" t="shared" si="1" ref="L8:L51">F8-K8</f>
        <v>203913.82000000007</v>
      </c>
      <c r="M8" s="250">
        <f aca="true" t="shared" si="2" ref="M8:M28">F8/K8</f>
        <v>1.3758182731618531</v>
      </c>
      <c r="N8" s="191">
        <f>N9+N15+N18+N19+N20+N17</f>
        <v>89825.12</v>
      </c>
      <c r="O8" s="191">
        <f>O9+O15+O18+O19+O20+O17</f>
        <v>38461.38000000008</v>
      </c>
      <c r="P8" s="191">
        <f>O8-N8</f>
        <v>-51363.73999999992</v>
      </c>
      <c r="Q8" s="191">
        <f>O8/N8*100</f>
        <v>42.81806692827138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408997.89</v>
      </c>
      <c r="G9" s="190">
        <f t="shared" si="0"/>
        <v>-20125.77999999997</v>
      </c>
      <c r="H9" s="197">
        <f>F9/E9*100</f>
        <v>95.31002799262973</v>
      </c>
      <c r="I9" s="198">
        <f>F9-D9</f>
        <v>-121591.10999999999</v>
      </c>
      <c r="J9" s="198">
        <f>F9/D9*100</f>
        <v>77.08374843805657</v>
      </c>
      <c r="K9" s="412">
        <v>296275.33</v>
      </c>
      <c r="L9" s="199">
        <f t="shared" si="1"/>
        <v>112722.56</v>
      </c>
      <c r="M9" s="251">
        <f t="shared" si="2"/>
        <v>1.3804655622187645</v>
      </c>
      <c r="N9" s="197">
        <f>E9-вересень!E9</f>
        <v>50045</v>
      </c>
      <c r="O9" s="200">
        <f>F9-вересень!F9</f>
        <v>23671.48000000004</v>
      </c>
      <c r="P9" s="201">
        <f>O9-N9</f>
        <v>-26373.51999999996</v>
      </c>
      <c r="Q9" s="198">
        <f>O9/N9*100</f>
        <v>47.3003896493157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361234.39</v>
      </c>
      <c r="G10" s="109">
        <f t="shared" si="0"/>
        <v>-24915.849999999977</v>
      </c>
      <c r="H10" s="32">
        <f aca="true" t="shared" si="3" ref="H10:H36">F10/E10*100</f>
        <v>93.54762799059766</v>
      </c>
      <c r="I10" s="110">
        <f aca="true" t="shared" si="4" ref="I10:I37">F10-D10</f>
        <v>-123974.60999999999</v>
      </c>
      <c r="J10" s="110">
        <f aca="true" t="shared" si="5" ref="J10:J36">F10/D10*100</f>
        <v>74.44923527799361</v>
      </c>
      <c r="K10" s="112">
        <v>262635.28</v>
      </c>
      <c r="L10" s="112">
        <f t="shared" si="1"/>
        <v>98599.10999999999</v>
      </c>
      <c r="M10" s="252">
        <f t="shared" si="2"/>
        <v>1.3754221824272808</v>
      </c>
      <c r="N10" s="111">
        <f>E10-вересень!E10</f>
        <v>47580</v>
      </c>
      <c r="O10" s="179">
        <f>F10-вересень!F10</f>
        <v>21965.340000000026</v>
      </c>
      <c r="P10" s="112">
        <f aca="true" t="shared" si="6" ref="P10:P37">O10-N10</f>
        <v>-25614.659999999974</v>
      </c>
      <c r="Q10" s="198">
        <f aca="true" t="shared" si="7" ref="Q10:Q16">O10/N10*100</f>
        <v>46.16506935687269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29224.57</v>
      </c>
      <c r="G11" s="109">
        <f t="shared" si="0"/>
        <v>6409.630000000001</v>
      </c>
      <c r="H11" s="32">
        <f t="shared" si="3"/>
        <v>128.09400331537142</v>
      </c>
      <c r="I11" s="110">
        <f t="shared" si="4"/>
        <v>6224.57</v>
      </c>
      <c r="J11" s="110">
        <f t="shared" si="5"/>
        <v>127.06334782608695</v>
      </c>
      <c r="K11" s="112">
        <v>15809.05</v>
      </c>
      <c r="L11" s="112">
        <f t="shared" si="1"/>
        <v>13415.52</v>
      </c>
      <c r="M11" s="252">
        <f t="shared" si="2"/>
        <v>1.8485974805570229</v>
      </c>
      <c r="N11" s="111">
        <f>E11-вересень!E11</f>
        <v>1300</v>
      </c>
      <c r="O11" s="179">
        <f>F11-вересень!F11</f>
        <v>727.0999999999985</v>
      </c>
      <c r="P11" s="112">
        <f t="shared" si="6"/>
        <v>-572.9000000000015</v>
      </c>
      <c r="Q11" s="198">
        <f t="shared" si="7"/>
        <v>55.930769230769116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7734.03</v>
      </c>
      <c r="G12" s="109">
        <f t="shared" si="0"/>
        <v>1353.42</v>
      </c>
      <c r="H12" s="32">
        <f t="shared" si="3"/>
        <v>121.21145156967752</v>
      </c>
      <c r="I12" s="110">
        <f t="shared" si="4"/>
        <v>1234.0299999999997</v>
      </c>
      <c r="J12" s="110">
        <f t="shared" si="5"/>
        <v>118.98507692307692</v>
      </c>
      <c r="K12" s="112">
        <v>4169.14</v>
      </c>
      <c r="L12" s="112">
        <f t="shared" si="1"/>
        <v>3564.8899999999994</v>
      </c>
      <c r="M12" s="252">
        <f t="shared" si="2"/>
        <v>1.855066032802928</v>
      </c>
      <c r="N12" s="111">
        <f>E12-вересень!E12</f>
        <v>500</v>
      </c>
      <c r="O12" s="179">
        <f>F12-вересень!F12</f>
        <v>324.3099999999995</v>
      </c>
      <c r="P12" s="112">
        <f t="shared" si="6"/>
        <v>-175.6900000000005</v>
      </c>
      <c r="Q12" s="198">
        <f t="shared" si="7"/>
        <v>64.8619999999999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8077.05</v>
      </c>
      <c r="G13" s="109">
        <f t="shared" si="0"/>
        <v>-2237.79</v>
      </c>
      <c r="H13" s="32">
        <f t="shared" si="3"/>
        <v>78.30514094256431</v>
      </c>
      <c r="I13" s="110">
        <f t="shared" si="4"/>
        <v>-4322.95</v>
      </c>
      <c r="J13" s="110">
        <f t="shared" si="5"/>
        <v>65.1375</v>
      </c>
      <c r="K13" s="112">
        <v>6098.87</v>
      </c>
      <c r="L13" s="112">
        <f t="shared" si="1"/>
        <v>1978.1800000000003</v>
      </c>
      <c r="M13" s="252">
        <f t="shared" si="2"/>
        <v>1.324351888136655</v>
      </c>
      <c r="N13" s="111">
        <f>E13-вересень!E13</f>
        <v>650</v>
      </c>
      <c r="O13" s="179">
        <f>F13-вересень!F13</f>
        <v>565.8000000000002</v>
      </c>
      <c r="P13" s="112">
        <f t="shared" si="6"/>
        <v>-84.19999999999982</v>
      </c>
      <c r="Q13" s="198">
        <f t="shared" si="7"/>
        <v>87.04615384615387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2727.86</v>
      </c>
      <c r="G14" s="109">
        <f t="shared" si="0"/>
        <v>-735.1799999999998</v>
      </c>
      <c r="H14" s="32">
        <f t="shared" si="3"/>
        <v>78.77067547588247</v>
      </c>
      <c r="I14" s="110">
        <f t="shared" si="4"/>
        <v>-752.1399999999999</v>
      </c>
      <c r="J14" s="110">
        <f t="shared" si="5"/>
        <v>78.38678160919541</v>
      </c>
      <c r="K14" s="112">
        <v>7562.97</v>
      </c>
      <c r="L14" s="112">
        <f t="shared" si="1"/>
        <v>-4835.110000000001</v>
      </c>
      <c r="M14" s="252">
        <f t="shared" si="2"/>
        <v>0.3606863441214232</v>
      </c>
      <c r="N14" s="111">
        <f>E14-вересень!E14</f>
        <v>15</v>
      </c>
      <c r="O14" s="179">
        <f>F14-вересень!F14</f>
        <v>88.95000000000027</v>
      </c>
      <c r="P14" s="112">
        <f t="shared" si="6"/>
        <v>73.95000000000027</v>
      </c>
      <c r="Q14" s="198">
        <f t="shared" si="7"/>
        <v>593.0000000000018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74785.35</v>
      </c>
      <c r="G19" s="190">
        <f t="shared" si="0"/>
        <v>-16175.049999999988</v>
      </c>
      <c r="H19" s="197">
        <f t="shared" si="3"/>
        <v>82.21748145346768</v>
      </c>
      <c r="I19" s="198">
        <f t="shared" si="4"/>
        <v>-35114.649999999994</v>
      </c>
      <c r="J19" s="198">
        <f t="shared" si="5"/>
        <v>68.04854413102821</v>
      </c>
      <c r="K19" s="209">
        <v>58485.05</v>
      </c>
      <c r="L19" s="201">
        <f t="shared" si="1"/>
        <v>16300.300000000003</v>
      </c>
      <c r="M19" s="259">
        <f t="shared" si="2"/>
        <v>1.2787088324281162</v>
      </c>
      <c r="N19" s="197">
        <f>E19-вересень!E19</f>
        <v>10900</v>
      </c>
      <c r="O19" s="200">
        <f>F19-вересень!F19</f>
        <v>432.5500000000029</v>
      </c>
      <c r="P19" s="201">
        <f t="shared" si="6"/>
        <v>-10467.449999999997</v>
      </c>
      <c r="Q19" s="198">
        <f aca="true" t="shared" si="9" ref="Q19:Q24">O19/N19*100</f>
        <v>3.9683486238532377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262224.02</v>
      </c>
      <c r="G20" s="190">
        <f t="shared" si="0"/>
        <v>-12882.039999999979</v>
      </c>
      <c r="H20" s="197">
        <f t="shared" si="3"/>
        <v>95.31742775858882</v>
      </c>
      <c r="I20" s="198">
        <f t="shared" si="4"/>
        <v>-53752.630000000005</v>
      </c>
      <c r="J20" s="198">
        <f t="shared" si="5"/>
        <v>82.98841702385286</v>
      </c>
      <c r="K20" s="198">
        <v>182815.03</v>
      </c>
      <c r="L20" s="201">
        <f t="shared" si="1"/>
        <v>79408.99000000002</v>
      </c>
      <c r="M20" s="254">
        <f t="shared" si="2"/>
        <v>1.4343679510377239</v>
      </c>
      <c r="N20" s="197">
        <f>N21+N30+N31+N32</f>
        <v>28870.120000000003</v>
      </c>
      <c r="O20" s="200">
        <f>F20-вересень!F20</f>
        <v>14357.350000000035</v>
      </c>
      <c r="P20" s="201">
        <f t="shared" si="6"/>
        <v>-14512.769999999968</v>
      </c>
      <c r="Q20" s="198">
        <f t="shared" si="9"/>
        <v>49.73082896780489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139812.31</v>
      </c>
      <c r="G21" s="190">
        <f t="shared" si="0"/>
        <v>-9631.100000000006</v>
      </c>
      <c r="H21" s="197">
        <f t="shared" si="3"/>
        <v>93.55535316010254</v>
      </c>
      <c r="I21" s="198">
        <f t="shared" si="4"/>
        <v>-35087.34</v>
      </c>
      <c r="J21" s="198">
        <f t="shared" si="5"/>
        <v>79.93858764154189</v>
      </c>
      <c r="K21" s="198">
        <v>100774.79</v>
      </c>
      <c r="L21" s="201">
        <f t="shared" si="1"/>
        <v>39037.520000000004</v>
      </c>
      <c r="M21" s="254">
        <f t="shared" si="2"/>
        <v>1.3873738660234372</v>
      </c>
      <c r="N21" s="197">
        <f>N22+N25+N26</f>
        <v>15362.620000000003</v>
      </c>
      <c r="O21" s="200">
        <f>F21-вересень!F21</f>
        <v>3996.5</v>
      </c>
      <c r="P21" s="201">
        <f t="shared" si="6"/>
        <v>-11366.120000000003</v>
      </c>
      <c r="Q21" s="198">
        <f t="shared" si="9"/>
        <v>26.014442848941126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17060.6</v>
      </c>
      <c r="G22" s="212">
        <f t="shared" si="0"/>
        <v>-263.8000000000029</v>
      </c>
      <c r="H22" s="214">
        <f t="shared" si="3"/>
        <v>98.47729214287362</v>
      </c>
      <c r="I22" s="215">
        <f t="shared" si="4"/>
        <v>-1439.4000000000015</v>
      </c>
      <c r="J22" s="215">
        <f t="shared" si="5"/>
        <v>92.21945945945946</v>
      </c>
      <c r="K22" s="216">
        <v>12486.13</v>
      </c>
      <c r="L22" s="206">
        <f t="shared" si="1"/>
        <v>4574.469999999999</v>
      </c>
      <c r="M22" s="262">
        <f t="shared" si="2"/>
        <v>1.3663641176249166</v>
      </c>
      <c r="N22" s="214">
        <f>E22-вересень!E22</f>
        <v>2199.920000000002</v>
      </c>
      <c r="O22" s="217">
        <f>F22-вересень!F22</f>
        <v>1301.7799999999988</v>
      </c>
      <c r="P22" s="218">
        <f t="shared" si="6"/>
        <v>-898.140000000003</v>
      </c>
      <c r="Q22" s="215">
        <f t="shared" si="9"/>
        <v>59.17396996254399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693.8</v>
      </c>
      <c r="G23" s="241">
        <f t="shared" si="0"/>
        <v>-530.6000000000001</v>
      </c>
      <c r="H23" s="242">
        <f t="shared" si="3"/>
        <v>56.66448872917347</v>
      </c>
      <c r="I23" s="243">
        <f t="shared" si="4"/>
        <v>-1306.2</v>
      </c>
      <c r="J23" s="243">
        <f t="shared" si="5"/>
        <v>34.69</v>
      </c>
      <c r="K23" s="261">
        <v>666.58</v>
      </c>
      <c r="L23" s="261">
        <f t="shared" si="1"/>
        <v>27.219999999999914</v>
      </c>
      <c r="M23" s="263">
        <f t="shared" si="2"/>
        <v>1.0408353085901165</v>
      </c>
      <c r="N23" s="239">
        <f>E23-вересень!E23</f>
        <v>200</v>
      </c>
      <c r="O23" s="239">
        <f>F23-вересень!F23</f>
        <v>24.949999999999932</v>
      </c>
      <c r="P23" s="240">
        <f t="shared" si="6"/>
        <v>-175.05000000000007</v>
      </c>
      <c r="Q23" s="240">
        <f t="shared" si="9"/>
        <v>12.474999999999966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16366.8</v>
      </c>
      <c r="G24" s="241">
        <f t="shared" si="0"/>
        <v>266.7999999999993</v>
      </c>
      <c r="H24" s="242">
        <f t="shared" si="3"/>
        <v>101.65714285714284</v>
      </c>
      <c r="I24" s="243">
        <f t="shared" si="4"/>
        <v>-133.20000000000073</v>
      </c>
      <c r="J24" s="243">
        <f t="shared" si="5"/>
        <v>99.19272727272727</v>
      </c>
      <c r="K24" s="261">
        <v>11819.55</v>
      </c>
      <c r="L24" s="261">
        <f t="shared" si="1"/>
        <v>4547.25</v>
      </c>
      <c r="M24" s="263">
        <f t="shared" si="2"/>
        <v>1.3847227686333237</v>
      </c>
      <c r="N24" s="239">
        <f>E24-вересень!E24</f>
        <v>1999.92</v>
      </c>
      <c r="O24" s="239">
        <f>F24-вересень!F24</f>
        <v>1276.83</v>
      </c>
      <c r="P24" s="240">
        <f t="shared" si="6"/>
        <v>-723.0900000000001</v>
      </c>
      <c r="Q24" s="240">
        <f t="shared" si="9"/>
        <v>63.84405376215048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776.95</v>
      </c>
      <c r="G25" s="212">
        <f t="shared" si="0"/>
        <v>-203.08999999999992</v>
      </c>
      <c r="H25" s="214">
        <f t="shared" si="3"/>
        <v>79.27737643361496</v>
      </c>
      <c r="I25" s="215">
        <f t="shared" si="4"/>
        <v>-223.04999999999995</v>
      </c>
      <c r="J25" s="215">
        <f t="shared" si="5"/>
        <v>77.69500000000001</v>
      </c>
      <c r="K25" s="215">
        <v>3493.96</v>
      </c>
      <c r="L25" s="215">
        <f t="shared" si="1"/>
        <v>-2717.01</v>
      </c>
      <c r="M25" s="257">
        <f t="shared" si="2"/>
        <v>0.2223694604403027</v>
      </c>
      <c r="N25" s="214">
        <f>E25-вересень!E25</f>
        <v>52.69999999999993</v>
      </c>
      <c r="O25" s="217">
        <f>F25-вересень!F25</f>
        <v>-0.38999999999998636</v>
      </c>
      <c r="P25" s="218">
        <f t="shared" si="6"/>
        <v>-53.08999999999992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121974.76</v>
      </c>
      <c r="G26" s="212">
        <f t="shared" si="0"/>
        <v>-9164.210000000006</v>
      </c>
      <c r="H26" s="214">
        <f t="shared" si="3"/>
        <v>93.01183317209217</v>
      </c>
      <c r="I26" s="215">
        <f t="shared" si="4"/>
        <v>-33424.89</v>
      </c>
      <c r="J26" s="215">
        <f t="shared" si="5"/>
        <v>78.49101333239811</v>
      </c>
      <c r="K26" s="216">
        <v>84794.7</v>
      </c>
      <c r="L26" s="216">
        <f t="shared" si="1"/>
        <v>37180.06</v>
      </c>
      <c r="M26" s="256">
        <f t="shared" si="2"/>
        <v>1.43847150824285</v>
      </c>
      <c r="N26" s="214">
        <f>E26-вересень!E26</f>
        <v>13110</v>
      </c>
      <c r="O26" s="217">
        <f>F26-вересень!F26</f>
        <v>2695.1100000000006</v>
      </c>
      <c r="P26" s="218">
        <f t="shared" si="6"/>
        <v>-10414.89</v>
      </c>
      <c r="Q26" s="215">
        <f>O26/N26*100</f>
        <v>20.557665903890165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38559.96</v>
      </c>
      <c r="G27" s="241">
        <f t="shared" si="0"/>
        <v>-1841.8400000000038</v>
      </c>
      <c r="H27" s="242">
        <f t="shared" si="3"/>
        <v>95.44119321416372</v>
      </c>
      <c r="I27" s="243">
        <f t="shared" si="4"/>
        <v>-8807.04</v>
      </c>
      <c r="J27" s="243">
        <f t="shared" si="5"/>
        <v>81.40680220406612</v>
      </c>
      <c r="K27" s="261">
        <v>22986.34</v>
      </c>
      <c r="L27" s="261">
        <f t="shared" si="1"/>
        <v>15573.619999999999</v>
      </c>
      <c r="M27" s="263">
        <f t="shared" si="2"/>
        <v>1.6775162988105108</v>
      </c>
      <c r="N27" s="239">
        <f>E27-вересень!E27</f>
        <v>3520</v>
      </c>
      <c r="O27" s="239">
        <f>F27-вересень!F27</f>
        <v>563.8399999999965</v>
      </c>
      <c r="P27" s="240">
        <f t="shared" si="6"/>
        <v>-2956.1600000000035</v>
      </c>
      <c r="Q27" s="240">
        <f>O27/N27*100</f>
        <v>16.018181818181716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83414.8</v>
      </c>
      <c r="G28" s="241">
        <f t="shared" si="0"/>
        <v>-7322.369999999995</v>
      </c>
      <c r="H28" s="242">
        <f t="shared" si="3"/>
        <v>91.93013183020807</v>
      </c>
      <c r="I28" s="243">
        <f t="shared" si="4"/>
        <v>-24617.84999999999</v>
      </c>
      <c r="J28" s="243">
        <f t="shared" si="5"/>
        <v>77.21258341806852</v>
      </c>
      <c r="K28" s="261">
        <v>61808.36</v>
      </c>
      <c r="L28" s="261">
        <f t="shared" si="1"/>
        <v>21606.440000000002</v>
      </c>
      <c r="M28" s="263">
        <f t="shared" si="2"/>
        <v>1.3495714819160385</v>
      </c>
      <c r="N28" s="239">
        <f>E28-вересень!E28</f>
        <v>9590</v>
      </c>
      <c r="O28" s="239">
        <f>F28-вересень!F28</f>
        <v>2131.279999999999</v>
      </c>
      <c r="P28" s="240">
        <f t="shared" si="6"/>
        <v>-7458.720000000001</v>
      </c>
      <c r="Q28" s="240">
        <f>O28/N28*100</f>
        <v>22.223983315954108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90.45</v>
      </c>
      <c r="G30" s="190">
        <f t="shared" si="0"/>
        <v>27.64</v>
      </c>
      <c r="H30" s="197">
        <f t="shared" si="3"/>
        <v>144.00573157140585</v>
      </c>
      <c r="I30" s="198">
        <f t="shared" si="4"/>
        <v>13.450000000000003</v>
      </c>
      <c r="J30" s="198">
        <f t="shared" si="5"/>
        <v>117.46753246753248</v>
      </c>
      <c r="K30" s="198">
        <v>60.64</v>
      </c>
      <c r="L30" s="198">
        <f t="shared" si="1"/>
        <v>29.810000000000002</v>
      </c>
      <c r="M30" s="255">
        <f>F30/K30</f>
        <v>1.491589709762533</v>
      </c>
      <c r="N30" s="197">
        <f>E30-вересень!E30</f>
        <v>7.5</v>
      </c>
      <c r="O30" s="200">
        <f>F30-вересень!F30</f>
        <v>2.5</v>
      </c>
      <c r="P30" s="201">
        <f t="shared" si="6"/>
        <v>-5</v>
      </c>
      <c r="Q30" s="198">
        <f>O30/N30*100</f>
        <v>33.33333333333333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-160.38</v>
      </c>
      <c r="G31" s="190">
        <f t="shared" si="0"/>
        <v>-160.38</v>
      </c>
      <c r="H31" s="197"/>
      <c r="I31" s="198">
        <f t="shared" si="4"/>
        <v>-160.38</v>
      </c>
      <c r="J31" s="198"/>
      <c r="K31" s="198">
        <v>-740.94</v>
      </c>
      <c r="L31" s="198">
        <f t="shared" si="1"/>
        <v>580.5600000000001</v>
      </c>
      <c r="M31" s="255">
        <f>F31/K31</f>
        <v>0.21645477366588387</v>
      </c>
      <c r="N31" s="197">
        <f>E31-вересень!E31</f>
        <v>0</v>
      </c>
      <c r="O31" s="200">
        <f>F31-вересень!F31</f>
        <v>-0.28000000000000114</v>
      </c>
      <c r="P31" s="201">
        <f t="shared" si="6"/>
        <v>-0.28000000000000114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122481.49</v>
      </c>
      <c r="G32" s="202">
        <f t="shared" si="0"/>
        <v>-3118.3499999999913</v>
      </c>
      <c r="H32" s="204">
        <f t="shared" si="3"/>
        <v>97.51723409838739</v>
      </c>
      <c r="I32" s="205">
        <f t="shared" si="4"/>
        <v>-18518.509999999995</v>
      </c>
      <c r="J32" s="205">
        <f t="shared" si="5"/>
        <v>86.86630496453901</v>
      </c>
      <c r="K32" s="219">
        <v>82720.54</v>
      </c>
      <c r="L32" s="219">
        <f>F32-K32</f>
        <v>39760.95000000001</v>
      </c>
      <c r="M32" s="411">
        <f>F32/K32</f>
        <v>1.4806659869483445</v>
      </c>
      <c r="N32" s="197">
        <f>E32-вересень!E32</f>
        <v>13500</v>
      </c>
      <c r="O32" s="200">
        <f>F32-вересень!F32</f>
        <v>10358.630000000005</v>
      </c>
      <c r="P32" s="207">
        <f t="shared" si="6"/>
        <v>-3141.3699999999953</v>
      </c>
      <c r="Q32" s="205">
        <f>O32/N32*100</f>
        <v>76.73059259259263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29826.79</v>
      </c>
      <c r="G34" s="109">
        <f t="shared" si="0"/>
        <v>-836.1800000000003</v>
      </c>
      <c r="H34" s="111">
        <f t="shared" si="3"/>
        <v>97.27299736457363</v>
      </c>
      <c r="I34" s="110">
        <f t="shared" si="4"/>
        <v>-4390.209999999999</v>
      </c>
      <c r="J34" s="110">
        <f t="shared" si="5"/>
        <v>87.1695063857147</v>
      </c>
      <c r="K34" s="142">
        <v>19963.33</v>
      </c>
      <c r="L34" s="142">
        <f t="shared" si="1"/>
        <v>9863.46</v>
      </c>
      <c r="M34" s="264">
        <f t="shared" si="10"/>
        <v>1.49407889365151</v>
      </c>
      <c r="N34" s="111">
        <f>E34-вересень!E34</f>
        <v>2300</v>
      </c>
      <c r="O34" s="179">
        <f>F34-вересень!F34</f>
        <v>1486.380000000001</v>
      </c>
      <c r="P34" s="112">
        <f t="shared" si="6"/>
        <v>-813.619999999999</v>
      </c>
      <c r="Q34" s="110">
        <f>O34/N34*100</f>
        <v>64.62521739130439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92628.05</v>
      </c>
      <c r="G35" s="109">
        <f t="shared" si="0"/>
        <v>-2292.029999999999</v>
      </c>
      <c r="H35" s="111">
        <f t="shared" si="3"/>
        <v>97.58530544854155</v>
      </c>
      <c r="I35" s="110">
        <f t="shared" si="4"/>
        <v>-14103.949999999997</v>
      </c>
      <c r="J35" s="110">
        <f t="shared" si="5"/>
        <v>86.78564067008956</v>
      </c>
      <c r="K35" s="142">
        <v>62729.49</v>
      </c>
      <c r="L35" s="142">
        <f t="shared" si="1"/>
        <v>29898.560000000005</v>
      </c>
      <c r="M35" s="264">
        <f t="shared" si="10"/>
        <v>1.4766268624214864</v>
      </c>
      <c r="N35" s="111">
        <f>E35-вересень!E35</f>
        <v>11200</v>
      </c>
      <c r="O35" s="179">
        <f>F35-вересень!F35</f>
        <v>8872.25</v>
      </c>
      <c r="P35" s="112">
        <f t="shared" si="6"/>
        <v>-2327.75</v>
      </c>
      <c r="Q35" s="110">
        <f>O35/N35*100</f>
        <v>79.21651785714286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54418.56</v>
      </c>
      <c r="G38" s="191">
        <f>G39+G40+G41+G42+G43+G45+G47+G48+G49+G50+G51+G56+G57+G61</f>
        <v>-903.6200000000015</v>
      </c>
      <c r="H38" s="192">
        <f>F38/E38*100</f>
        <v>98.4149208346573</v>
      </c>
      <c r="I38" s="193">
        <f>F38-D38</f>
        <v>-7423.9200000000055</v>
      </c>
      <c r="J38" s="193">
        <f>F38/D38*100</f>
        <v>87.99543614680394</v>
      </c>
      <c r="K38" s="191">
        <v>35081.67</v>
      </c>
      <c r="L38" s="191">
        <f t="shared" si="1"/>
        <v>19336.89</v>
      </c>
      <c r="M38" s="250">
        <f t="shared" si="10"/>
        <v>1.55119639401431</v>
      </c>
      <c r="N38" s="191">
        <f>N39+N40+N41+N42+N43+N45+N47+N48+N49+N50+N51+N56+N57+N61+N44</f>
        <v>6170</v>
      </c>
      <c r="O38" s="191">
        <f>O39+O40+O41+O42+O43+O45+O47+O48+O49+O50+O51+O56+O57+O61+O44</f>
        <v>4971.669999999997</v>
      </c>
      <c r="P38" s="191">
        <f>P39+P40+P41+P42+P43+P45+P47+P48+P49+P50+P51+P56+P57+P61</f>
        <v>-1198.3300000000033</v>
      </c>
      <c r="Q38" s="191">
        <f>O38/N38*100</f>
        <v>80.57811993517014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204.97</v>
      </c>
      <c r="G43" s="202">
        <f t="shared" si="13"/>
        <v>104.97</v>
      </c>
      <c r="H43" s="204">
        <f t="shared" si="11"/>
        <v>204.97</v>
      </c>
      <c r="I43" s="205">
        <f t="shared" si="14"/>
        <v>54.97</v>
      </c>
      <c r="J43" s="205">
        <f t="shared" si="16"/>
        <v>136.64666666666668</v>
      </c>
      <c r="K43" s="205">
        <v>255.87</v>
      </c>
      <c r="L43" s="205">
        <f t="shared" si="1"/>
        <v>-50.900000000000006</v>
      </c>
      <c r="M43" s="266">
        <f t="shared" si="17"/>
        <v>0.8010708562942119</v>
      </c>
      <c r="N43" s="204">
        <f>E43-вересень!E43</f>
        <v>10</v>
      </c>
      <c r="O43" s="208">
        <f>F43-вересень!F43</f>
        <v>7.849999999999994</v>
      </c>
      <c r="P43" s="207">
        <f t="shared" si="15"/>
        <v>-2.1500000000000057</v>
      </c>
      <c r="Q43" s="205">
        <f t="shared" si="12"/>
        <v>78.49999999999994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486.26</v>
      </c>
      <c r="G45" s="202">
        <f t="shared" si="13"/>
        <v>214.26</v>
      </c>
      <c r="H45" s="204">
        <f t="shared" si="11"/>
        <v>178.7720588235294</v>
      </c>
      <c r="I45" s="205">
        <f t="shared" si="14"/>
        <v>186.26</v>
      </c>
      <c r="J45" s="205">
        <f t="shared" si="16"/>
        <v>162.08666666666667</v>
      </c>
      <c r="K45" s="205">
        <v>0</v>
      </c>
      <c r="L45" s="205">
        <f t="shared" si="1"/>
        <v>486.26</v>
      </c>
      <c r="M45" s="266"/>
      <c r="N45" s="204">
        <f>E45-вересень!E45</f>
        <v>8</v>
      </c>
      <c r="O45" s="208">
        <f>F45-вересень!F45</f>
        <v>57.629999999999995</v>
      </c>
      <c r="P45" s="207">
        <f t="shared" si="15"/>
        <v>49.629999999999995</v>
      </c>
      <c r="Q45" s="205">
        <f t="shared" si="12"/>
        <v>720.375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8524.23</v>
      </c>
      <c r="G47" s="202">
        <f t="shared" si="13"/>
        <v>-224.79000000000087</v>
      </c>
      <c r="H47" s="204">
        <f t="shared" si="11"/>
        <v>97.43068366514191</v>
      </c>
      <c r="I47" s="205">
        <f t="shared" si="14"/>
        <v>-1375.7700000000004</v>
      </c>
      <c r="J47" s="205">
        <f t="shared" si="16"/>
        <v>86.10333333333332</v>
      </c>
      <c r="K47" s="205">
        <v>8383.7</v>
      </c>
      <c r="L47" s="205">
        <f t="shared" si="1"/>
        <v>140.52999999999884</v>
      </c>
      <c r="M47" s="266">
        <f t="shared" si="17"/>
        <v>1.0167622887269343</v>
      </c>
      <c r="N47" s="204">
        <f>E47-вересень!E47</f>
        <v>900</v>
      </c>
      <c r="O47" s="208">
        <f>F47-вересень!F47</f>
        <v>456.4899999999998</v>
      </c>
      <c r="P47" s="207">
        <f t="shared" si="15"/>
        <v>-443.5100000000002</v>
      </c>
      <c r="Q47" s="205">
        <f t="shared" si="12"/>
        <v>50.721111111111085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231.39</v>
      </c>
      <c r="G48" s="202">
        <f t="shared" si="13"/>
        <v>-418.61</v>
      </c>
      <c r="H48" s="204">
        <f t="shared" si="11"/>
        <v>35.598461538461535</v>
      </c>
      <c r="I48" s="205">
        <f t="shared" si="14"/>
        <v>-418.61</v>
      </c>
      <c r="J48" s="205">
        <f t="shared" si="16"/>
        <v>35.598461538461535</v>
      </c>
      <c r="K48" s="205">
        <v>0</v>
      </c>
      <c r="L48" s="205">
        <f t="shared" si="1"/>
        <v>231.39</v>
      </c>
      <c r="M48" s="266"/>
      <c r="N48" s="204">
        <f>E48-вересень!E48</f>
        <v>0</v>
      </c>
      <c r="O48" s="208">
        <f>F48-вересень!F48</f>
        <v>21.269999999999982</v>
      </c>
      <c r="P48" s="207">
        <f t="shared" si="15"/>
        <v>21.269999999999982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4981.12</v>
      </c>
      <c r="G51" s="202">
        <f t="shared" si="13"/>
        <v>-485.0699999999997</v>
      </c>
      <c r="H51" s="204">
        <f t="shared" si="11"/>
        <v>91.12599452269315</v>
      </c>
      <c r="I51" s="205">
        <f t="shared" si="14"/>
        <v>-2018.92</v>
      </c>
      <c r="J51" s="205">
        <f t="shared" si="16"/>
        <v>71.15845052313988</v>
      </c>
      <c r="K51" s="205">
        <v>6187.55</v>
      </c>
      <c r="L51" s="205">
        <f t="shared" si="1"/>
        <v>-1206.4300000000003</v>
      </c>
      <c r="M51" s="266">
        <f t="shared" si="17"/>
        <v>0.8050229897132144</v>
      </c>
      <c r="N51" s="204">
        <f>E51-вересень!E51</f>
        <v>555</v>
      </c>
      <c r="O51" s="208">
        <f>F51-вересень!F51</f>
        <v>55.5</v>
      </c>
      <c r="P51" s="207">
        <f t="shared" si="15"/>
        <v>-499.5</v>
      </c>
      <c r="Q51" s="205">
        <f t="shared" si="12"/>
        <v>10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676.47</v>
      </c>
      <c r="G52" s="36">
        <f t="shared" si="13"/>
        <v>-62.51999999999998</v>
      </c>
      <c r="H52" s="32">
        <f t="shared" si="11"/>
        <v>91.53980432752812</v>
      </c>
      <c r="I52" s="110">
        <f t="shared" si="14"/>
        <v>-293.53</v>
      </c>
      <c r="J52" s="110">
        <f t="shared" si="16"/>
        <v>69.73917525773197</v>
      </c>
      <c r="K52" s="110">
        <v>883.77</v>
      </c>
      <c r="L52" s="110">
        <f>F52-K52</f>
        <v>-207.29999999999995</v>
      </c>
      <c r="M52" s="115">
        <f t="shared" si="17"/>
        <v>0.7654367086459147</v>
      </c>
      <c r="N52" s="111">
        <f>E52-вересень!E52</f>
        <v>55</v>
      </c>
      <c r="O52" s="179">
        <f>F52-вересень!F52</f>
        <v>33.360000000000014</v>
      </c>
      <c r="P52" s="112">
        <f t="shared" si="15"/>
        <v>-21.639999999999986</v>
      </c>
      <c r="Q52" s="132">
        <f t="shared" si="12"/>
        <v>60.654545454545485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44.11</v>
      </c>
      <c r="L53" s="110">
        <f>F53-K53</f>
        <v>-43.839999999999996</v>
      </c>
      <c r="M53" s="115">
        <f t="shared" si="17"/>
        <v>0.006121060983903877</v>
      </c>
      <c r="N53" s="111">
        <f>E53-вересень!E53</f>
        <v>0</v>
      </c>
      <c r="O53" s="179">
        <f>F53-вересень!F53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4304.36</v>
      </c>
      <c r="G55" s="36">
        <f t="shared" si="13"/>
        <v>-417.8100000000004</v>
      </c>
      <c r="H55" s="32">
        <f t="shared" si="11"/>
        <v>91.15216097683903</v>
      </c>
      <c r="I55" s="110">
        <f t="shared" si="14"/>
        <v>-1719.6400000000003</v>
      </c>
      <c r="J55" s="110">
        <f t="shared" si="16"/>
        <v>71.4535192563081</v>
      </c>
      <c r="K55" s="110">
        <v>5258.92</v>
      </c>
      <c r="L55" s="110">
        <f>F55-K55</f>
        <v>-954.5600000000004</v>
      </c>
      <c r="M55" s="115">
        <f t="shared" si="17"/>
        <v>0.8184874460915929</v>
      </c>
      <c r="N55" s="111">
        <f>E55-вересень!E55</f>
        <v>500</v>
      </c>
      <c r="O55" s="179">
        <f>F55-вересень!F55</f>
        <v>22.139999999999418</v>
      </c>
      <c r="P55" s="112">
        <f t="shared" si="15"/>
        <v>-477.8600000000006</v>
      </c>
      <c r="Q55" s="132">
        <f t="shared" si="12"/>
        <v>4.427999999999884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5454.07</v>
      </c>
      <c r="G57" s="202">
        <f t="shared" si="13"/>
        <v>376.09000000000015</v>
      </c>
      <c r="H57" s="204">
        <f t="shared" si="11"/>
        <v>107.40629147810743</v>
      </c>
      <c r="I57" s="205">
        <f t="shared" si="14"/>
        <v>304.0699999999997</v>
      </c>
      <c r="J57" s="205">
        <f t="shared" si="16"/>
        <v>105.90427184466019</v>
      </c>
      <c r="K57" s="205">
        <v>4010.85</v>
      </c>
      <c r="L57" s="205">
        <f aca="true" t="shared" si="18" ref="L57:L63">F57-K57</f>
        <v>1443.2199999999998</v>
      </c>
      <c r="M57" s="266">
        <f t="shared" si="17"/>
        <v>1.3598289639353254</v>
      </c>
      <c r="N57" s="204">
        <f>E57-вересень!E57</f>
        <v>440</v>
      </c>
      <c r="O57" s="208">
        <f>F57-вересень!F57</f>
        <v>299.9399999999996</v>
      </c>
      <c r="P57" s="207">
        <f t="shared" si="15"/>
        <v>-140.0600000000004</v>
      </c>
      <c r="Q57" s="205">
        <f t="shared" si="12"/>
        <v>68.16818181818172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1099.91</v>
      </c>
      <c r="G59" s="202"/>
      <c r="H59" s="204"/>
      <c r="I59" s="205"/>
      <c r="J59" s="205"/>
      <c r="K59" s="206">
        <v>1044.28</v>
      </c>
      <c r="L59" s="205">
        <f t="shared" si="18"/>
        <v>55.63000000000011</v>
      </c>
      <c r="M59" s="266">
        <f t="shared" si="17"/>
        <v>1.0532711533305246</v>
      </c>
      <c r="N59" s="204"/>
      <c r="O59" s="220">
        <f>F59-вересень!F59</f>
        <v>97.56000000000006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800933.1500000001</v>
      </c>
      <c r="G64" s="191">
        <f>F64-E64</f>
        <v>-50059.4099999998</v>
      </c>
      <c r="H64" s="192">
        <f>F64/E64*100</f>
        <v>94.11752671492218</v>
      </c>
      <c r="I64" s="193">
        <f>F64-D64</f>
        <v>-218011.57999999996</v>
      </c>
      <c r="J64" s="193">
        <f>F64/D64*100</f>
        <v>78.60418003241452</v>
      </c>
      <c r="K64" s="193">
        <v>577689.14</v>
      </c>
      <c r="L64" s="193">
        <f>F64-K64</f>
        <v>223244.01000000013</v>
      </c>
      <c r="M64" s="267">
        <f>F64/K64</f>
        <v>1.3864431482994473</v>
      </c>
      <c r="N64" s="191">
        <f>N8+N38+N62+N63</f>
        <v>95997.42</v>
      </c>
      <c r="O64" s="191">
        <f>O8+O38+O62+O63</f>
        <v>43433.050000000076</v>
      </c>
      <c r="P64" s="195">
        <f>O64-N64</f>
        <v>-52564.36999999992</v>
      </c>
      <c r="Q64" s="193">
        <f>O64/N64*100</f>
        <v>45.24397634853111</v>
      </c>
      <c r="R64" s="28">
        <f>O64-34768</f>
        <v>8665.050000000076</v>
      </c>
      <c r="S64" s="128">
        <f>O64/34768</f>
        <v>1.2492248619420179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1553.97</v>
      </c>
      <c r="G73" s="202">
        <f aca="true" t="shared" si="19" ref="G73:G83">F73-E73</f>
        <v>-1146.03</v>
      </c>
      <c r="H73" s="204"/>
      <c r="I73" s="207">
        <f aca="true" t="shared" si="20" ref="I73:I83">F73-D73</f>
        <v>-2646.0299999999997</v>
      </c>
      <c r="J73" s="207">
        <f>F73/D73*100</f>
        <v>36.99928571428571</v>
      </c>
      <c r="K73" s="207">
        <v>593.13</v>
      </c>
      <c r="L73" s="207">
        <f aca="true" t="shared" si="21" ref="L73:L83">F73-K73</f>
        <v>960.84</v>
      </c>
      <c r="M73" s="254">
        <f>F73/K73</f>
        <v>2.6199484092863283</v>
      </c>
      <c r="N73" s="204">
        <f>E73-вересень!E73</f>
        <v>0</v>
      </c>
      <c r="O73" s="208">
        <f>F73-вересень!F73</f>
        <v>0.01999999999998181</v>
      </c>
      <c r="P73" s="207">
        <f aca="true" t="shared" si="22" ref="P73:P86">O73-N73</f>
        <v>0.01999999999998181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7067.86</v>
      </c>
      <c r="G74" s="202">
        <f t="shared" si="19"/>
        <v>1914.9499999999998</v>
      </c>
      <c r="H74" s="204">
        <f>F74/E74*100</f>
        <v>137.16249653108633</v>
      </c>
      <c r="I74" s="207">
        <f t="shared" si="20"/>
        <v>-391.1400000000003</v>
      </c>
      <c r="J74" s="207">
        <f>F74/D74*100</f>
        <v>94.75613352996379</v>
      </c>
      <c r="K74" s="207">
        <v>7212.08</v>
      </c>
      <c r="L74" s="207">
        <f t="shared" si="21"/>
        <v>-144.22000000000025</v>
      </c>
      <c r="M74" s="254">
        <f>F74/K74</f>
        <v>0.9800029949750974</v>
      </c>
      <c r="N74" s="204">
        <f>E74-вересень!E74</f>
        <v>460.6999999999998</v>
      </c>
      <c r="O74" s="208">
        <f>F74-вересень!F74</f>
        <v>164.40999999999985</v>
      </c>
      <c r="P74" s="207">
        <f t="shared" si="22"/>
        <v>-296.28999999999996</v>
      </c>
      <c r="Q74" s="207">
        <f>O74/N74*100</f>
        <v>35.68699804645104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12211.22</v>
      </c>
      <c r="G75" s="202">
        <f t="shared" si="19"/>
        <v>9210.369999999999</v>
      </c>
      <c r="H75" s="204">
        <f>F75/E75*100</f>
        <v>406.92537114484225</v>
      </c>
      <c r="I75" s="207">
        <f t="shared" si="20"/>
        <v>6211.219999999999</v>
      </c>
      <c r="J75" s="207">
        <f>F75/D75*100</f>
        <v>203.5203333333333</v>
      </c>
      <c r="K75" s="207">
        <v>2063.43</v>
      </c>
      <c r="L75" s="207">
        <f t="shared" si="21"/>
        <v>10147.789999999999</v>
      </c>
      <c r="M75" s="254">
        <f>F75/K75</f>
        <v>5.917923069840024</v>
      </c>
      <c r="N75" s="204">
        <f>E75-вересень!E75</f>
        <v>302</v>
      </c>
      <c r="O75" s="208">
        <f>F75-вересень!F75</f>
        <v>94.79999999999927</v>
      </c>
      <c r="P75" s="207">
        <f t="shared" si="22"/>
        <v>-207.20000000000073</v>
      </c>
      <c r="Q75" s="207">
        <f>O75/N75*100</f>
        <v>31.39072847682095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20844.05</v>
      </c>
      <c r="G77" s="226">
        <f t="shared" si="19"/>
        <v>9980.289999999999</v>
      </c>
      <c r="H77" s="227">
        <f>F77/E77*100</f>
        <v>191.8677327186904</v>
      </c>
      <c r="I77" s="228">
        <f t="shared" si="20"/>
        <v>3173.0499999999993</v>
      </c>
      <c r="J77" s="228">
        <f>F77/D77*100</f>
        <v>117.95625601267614</v>
      </c>
      <c r="K77" s="228">
        <v>6439.8</v>
      </c>
      <c r="L77" s="228">
        <f t="shared" si="21"/>
        <v>14404.25</v>
      </c>
      <c r="M77" s="260">
        <f>F77/K77</f>
        <v>3.236754247026305</v>
      </c>
      <c r="N77" s="226">
        <f>N73+N74+N75+N76</f>
        <v>763.6999999999998</v>
      </c>
      <c r="O77" s="230">
        <f>O73+O74+O75+O76</f>
        <v>260.2299999999991</v>
      </c>
      <c r="P77" s="228">
        <f t="shared" si="22"/>
        <v>-503.4700000000007</v>
      </c>
      <c r="Q77" s="228">
        <f>O77/N77*100</f>
        <v>34.07489852036129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6828.97</v>
      </c>
      <c r="G80" s="202">
        <f t="shared" si="19"/>
        <v>-796.3299999999999</v>
      </c>
      <c r="H80" s="204">
        <f>F80/E80*100</f>
        <v>89.55673875126224</v>
      </c>
      <c r="I80" s="207">
        <f t="shared" si="20"/>
        <v>-2671.0299999999997</v>
      </c>
      <c r="J80" s="207">
        <f>F80/D80*100</f>
        <v>71.88389473684211</v>
      </c>
      <c r="K80" s="207">
        <v>0</v>
      </c>
      <c r="L80" s="207">
        <f t="shared" si="21"/>
        <v>6828.97</v>
      </c>
      <c r="M80" s="254"/>
      <c r="N80" s="204">
        <f>E80-вересень!E80</f>
        <v>1.300000000000182</v>
      </c>
      <c r="O80" s="208">
        <f>F80-вересень!F80</f>
        <v>3.300000000000182</v>
      </c>
      <c r="P80" s="207">
        <f>O80-N80</f>
        <v>2</v>
      </c>
      <c r="Q80" s="231">
        <f>O80/N80*100</f>
        <v>253.84615384613232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6865.97</v>
      </c>
      <c r="G82" s="224">
        <f>G78+G81+G79+G80</f>
        <v>-759.3299999999999</v>
      </c>
      <c r="H82" s="227">
        <f>F82/E82*100</f>
        <v>90.04196556201067</v>
      </c>
      <c r="I82" s="228">
        <f t="shared" si="20"/>
        <v>-2635.0299999999997</v>
      </c>
      <c r="J82" s="228">
        <f>F82/D82*100</f>
        <v>72.2657614987896</v>
      </c>
      <c r="K82" s="228">
        <v>1.35</v>
      </c>
      <c r="L82" s="228">
        <f t="shared" si="21"/>
        <v>6864.62</v>
      </c>
      <c r="M82" s="268">
        <f>F82/K82</f>
        <v>5085.903703703703</v>
      </c>
      <c r="N82" s="226">
        <f>N78+N81+N79+N80</f>
        <v>1.300000000000182</v>
      </c>
      <c r="O82" s="230">
        <f>O78+O81+O79+O80</f>
        <v>3.300000000000182</v>
      </c>
      <c r="P82" s="226">
        <f>P78+P81+P79+P80</f>
        <v>2</v>
      </c>
      <c r="Q82" s="228">
        <f>O82/N82*100</f>
        <v>253.84615384613232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27.18</v>
      </c>
      <c r="G83" s="202">
        <f t="shared" si="19"/>
        <v>-2.59</v>
      </c>
      <c r="H83" s="204">
        <f>F83/E83*100</f>
        <v>91.29996640913672</v>
      </c>
      <c r="I83" s="207">
        <f t="shared" si="20"/>
        <v>-15.82</v>
      </c>
      <c r="J83" s="207">
        <f>F83/D83*100</f>
        <v>63.2093023255814</v>
      </c>
      <c r="K83" s="207">
        <v>30.02</v>
      </c>
      <c r="L83" s="207">
        <f t="shared" si="21"/>
        <v>-2.84</v>
      </c>
      <c r="M83" s="254">
        <f>F83/K83</f>
        <v>0.905396402398401</v>
      </c>
      <c r="N83" s="204">
        <f>E83-вересень!E83</f>
        <v>0.8000000000000007</v>
      </c>
      <c r="O83" s="208">
        <f>F83-вересень!F83</f>
        <v>0.3099999999999987</v>
      </c>
      <c r="P83" s="207">
        <f t="shared" si="22"/>
        <v>-0.490000000000002</v>
      </c>
      <c r="Q83" s="207">
        <f>O83/N83</f>
        <v>0.38749999999999807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27733.38</v>
      </c>
      <c r="G85" s="233">
        <f>F85-E85</f>
        <v>9214.55</v>
      </c>
      <c r="H85" s="234">
        <f>F85/E85*100</f>
        <v>149.7577330749297</v>
      </c>
      <c r="I85" s="235">
        <f>F85-D85</f>
        <v>518.380000000001</v>
      </c>
      <c r="J85" s="235">
        <f>F85/D85*100</f>
        <v>101.9047584052912</v>
      </c>
      <c r="K85" s="235">
        <v>9845.6</v>
      </c>
      <c r="L85" s="235">
        <f>F85-K85</f>
        <v>17887.78</v>
      </c>
      <c r="M85" s="269">
        <f>F85/K85</f>
        <v>2.816829852929227</v>
      </c>
      <c r="N85" s="232">
        <f>N71+N83+N77+N82</f>
        <v>765.8</v>
      </c>
      <c r="O85" s="232">
        <f>O71+O83+O77+O82+O84</f>
        <v>263.8399999999993</v>
      </c>
      <c r="P85" s="235">
        <f t="shared" si="22"/>
        <v>-501.96000000000066</v>
      </c>
      <c r="Q85" s="235">
        <f>O85/N85*100</f>
        <v>34.452859754505</v>
      </c>
      <c r="R85" s="28">
        <f>O85-8104.96</f>
        <v>-7841.120000000001</v>
      </c>
      <c r="S85" s="101">
        <f>O85/8104.96</f>
        <v>0.03255290587492095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828666.5300000001</v>
      </c>
      <c r="G86" s="233">
        <f>F86-E86</f>
        <v>-40844.85999999975</v>
      </c>
      <c r="H86" s="234">
        <f>F86/E86*100</f>
        <v>95.30255032081871</v>
      </c>
      <c r="I86" s="235">
        <f>F86-D86</f>
        <v>-217493.19999999995</v>
      </c>
      <c r="J86" s="235">
        <f>F86/D86*100</f>
        <v>79.21032575016055</v>
      </c>
      <c r="K86" s="235">
        <f>K64+K85</f>
        <v>587534.74</v>
      </c>
      <c r="L86" s="235">
        <f>F86-K86</f>
        <v>241131.79000000015</v>
      </c>
      <c r="M86" s="269">
        <f>F86/K86</f>
        <v>1.4104128208657076</v>
      </c>
      <c r="N86" s="233">
        <f>N64+N85</f>
        <v>96763.22</v>
      </c>
      <c r="O86" s="233">
        <f>O64+O85</f>
        <v>43696.89000000007</v>
      </c>
      <c r="P86" s="235">
        <f t="shared" si="22"/>
        <v>-53066.32999999993</v>
      </c>
      <c r="Q86" s="235">
        <f>O86/N86*100</f>
        <v>45.15857368119837</v>
      </c>
      <c r="R86" s="28">
        <f>O86-42872.96</f>
        <v>823.930000000073</v>
      </c>
      <c r="S86" s="101">
        <f>O86/42872.96</f>
        <v>1.0192179406320458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7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7509.195714285704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42662</v>
      </c>
      <c r="D90" s="31">
        <v>3699.5</v>
      </c>
      <c r="G90" s="4" t="s">
        <v>59</v>
      </c>
      <c r="O90" s="421"/>
      <c r="P90" s="421"/>
      <c r="T90" s="186">
        <f t="shared" si="23"/>
        <v>3699.5</v>
      </c>
    </row>
    <row r="91" spans="3:16" ht="15">
      <c r="C91" s="87">
        <v>42661</v>
      </c>
      <c r="D91" s="31">
        <v>3637.8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42660</v>
      </c>
      <c r="D92" s="31">
        <v>2900.1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816.84997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734.61</v>
      </c>
      <c r="G97" s="73">
        <f>G45+G48+G49</f>
        <v>-223.39000000000001</v>
      </c>
      <c r="H97" s="74"/>
      <c r="I97" s="74"/>
      <c r="N97" s="31">
        <f>N45+N48+N49</f>
        <v>12</v>
      </c>
      <c r="O97" s="246">
        <f>O45+O48+O49</f>
        <v>79.17999999999998</v>
      </c>
      <c r="P97" s="31">
        <f>P45+P48+P49</f>
        <v>67.17999999999998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135</v>
      </c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132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129</v>
      </c>
      <c r="F4" s="453" t="s">
        <v>34</v>
      </c>
      <c r="G4" s="423" t="s">
        <v>130</v>
      </c>
      <c r="H4" s="432" t="s">
        <v>131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57" t="s">
        <v>133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134</v>
      </c>
      <c r="L5" s="428"/>
      <c r="M5" s="433"/>
      <c r="N5" s="458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1"/>
      <c r="O84" s="421"/>
    </row>
    <row r="85" spans="3:15" ht="15">
      <c r="C85" s="87">
        <v>42397</v>
      </c>
      <c r="D85" s="31">
        <v>8685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42396</v>
      </c>
      <c r="D86" s="31">
        <v>4820.3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300.92</v>
      </c>
      <c r="E88" s="74"/>
      <c r="F88" s="140"/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136</v>
      </c>
      <c r="C3" s="441" t="s">
        <v>0</v>
      </c>
      <c r="D3" s="442" t="s">
        <v>115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107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104</v>
      </c>
      <c r="F4" s="459" t="s">
        <v>34</v>
      </c>
      <c r="G4" s="423" t="s">
        <v>109</v>
      </c>
      <c r="H4" s="432" t="s">
        <v>110</v>
      </c>
      <c r="I4" s="423" t="s">
        <v>105</v>
      </c>
      <c r="J4" s="432" t="s">
        <v>106</v>
      </c>
      <c r="K4" s="91" t="s">
        <v>65</v>
      </c>
      <c r="L4" s="96" t="s">
        <v>64</v>
      </c>
      <c r="M4" s="432"/>
      <c r="N4" s="457" t="s">
        <v>103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6.5" customHeight="1">
      <c r="A5" s="439"/>
      <c r="B5" s="440"/>
      <c r="C5" s="441"/>
      <c r="D5" s="442"/>
      <c r="E5" s="449"/>
      <c r="F5" s="460"/>
      <c r="G5" s="424"/>
      <c r="H5" s="433"/>
      <c r="I5" s="424"/>
      <c r="J5" s="433"/>
      <c r="K5" s="426" t="s">
        <v>108</v>
      </c>
      <c r="L5" s="428"/>
      <c r="M5" s="433"/>
      <c r="N5" s="458"/>
      <c r="O5" s="424"/>
      <c r="P5" s="425"/>
      <c r="Q5" s="426" t="s">
        <v>126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9"/>
      <c r="H82" s="429"/>
      <c r="I82" s="429"/>
      <c r="J82" s="42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1"/>
      <c r="O83" s="421"/>
    </row>
    <row r="84" spans="3:15" ht="15">
      <c r="C84" s="87">
        <v>42397</v>
      </c>
      <c r="D84" s="31">
        <v>8685</v>
      </c>
      <c r="F84" s="166" t="s">
        <v>59</v>
      </c>
      <c r="G84" s="415"/>
      <c r="H84" s="415"/>
      <c r="I84" s="131"/>
      <c r="J84" s="418"/>
      <c r="K84" s="418"/>
      <c r="L84" s="418"/>
      <c r="M84" s="418"/>
      <c r="N84" s="421"/>
      <c r="O84" s="421"/>
    </row>
    <row r="85" spans="3:15" ht="15.75" customHeight="1">
      <c r="C85" s="87">
        <v>42396</v>
      </c>
      <c r="D85" s="31">
        <v>4820.3</v>
      </c>
      <c r="F85" s="167"/>
      <c r="G85" s="415"/>
      <c r="H85" s="415"/>
      <c r="I85" s="131"/>
      <c r="J85" s="422"/>
      <c r="K85" s="422"/>
      <c r="L85" s="422"/>
      <c r="M85" s="422"/>
      <c r="N85" s="421"/>
      <c r="O85" s="421"/>
    </row>
    <row r="86" spans="3:13" ht="15.75" customHeight="1">
      <c r="C86" s="87"/>
      <c r="F86" s="167"/>
      <c r="G86" s="417"/>
      <c r="H86" s="417"/>
      <c r="I86" s="139"/>
      <c r="J86" s="418"/>
      <c r="K86" s="418"/>
      <c r="L86" s="418"/>
      <c r="M86" s="418"/>
    </row>
    <row r="87" spans="2:13" ht="18.75" customHeight="1">
      <c r="B87" s="419" t="s">
        <v>57</v>
      </c>
      <c r="C87" s="420"/>
      <c r="D87" s="148">
        <v>300.92</v>
      </c>
      <c r="E87" s="74"/>
      <c r="F87" s="168"/>
      <c r="G87" s="415"/>
      <c r="H87" s="415"/>
      <c r="I87" s="141"/>
      <c r="J87" s="418"/>
      <c r="K87" s="418"/>
      <c r="L87" s="418"/>
      <c r="M87" s="418"/>
    </row>
    <row r="88" spans="6:12" ht="9.75" customHeight="1">
      <c r="F88" s="167"/>
      <c r="G88" s="415"/>
      <c r="H88" s="415"/>
      <c r="I88" s="73"/>
      <c r="J88" s="74"/>
      <c r="K88" s="74"/>
      <c r="L88" s="74"/>
    </row>
    <row r="89" spans="2:12" ht="22.5" customHeight="1" hidden="1">
      <c r="B89" s="413" t="s">
        <v>60</v>
      </c>
      <c r="C89" s="414"/>
      <c r="D89" s="86">
        <v>0</v>
      </c>
      <c r="E89" s="56" t="s">
        <v>24</v>
      </c>
      <c r="F89" s="167"/>
      <c r="G89" s="415"/>
      <c r="H89" s="41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5"/>
      <c r="O90" s="415"/>
    </row>
    <row r="91" spans="4:15" ht="15">
      <c r="D91" s="83"/>
      <c r="I91" s="31"/>
      <c r="N91" s="416"/>
      <c r="O91" s="416"/>
    </row>
    <row r="92" spans="14:15" ht="15">
      <c r="N92" s="415"/>
      <c r="O92" s="41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201</v>
      </c>
      <c r="O3" s="447" t="s">
        <v>202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198</v>
      </c>
      <c r="F4" s="430" t="s">
        <v>34</v>
      </c>
      <c r="G4" s="423" t="s">
        <v>199</v>
      </c>
      <c r="H4" s="432" t="s">
        <v>200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207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203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1"/>
      <c r="P90" s="421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42641</v>
      </c>
      <c r="D92" s="31">
        <v>6835.7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193</v>
      </c>
      <c r="O3" s="447" t="s">
        <v>194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190</v>
      </c>
      <c r="F4" s="430" t="s">
        <v>34</v>
      </c>
      <c r="G4" s="423" t="s">
        <v>191</v>
      </c>
      <c r="H4" s="432" t="s">
        <v>192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197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195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1"/>
      <c r="P90" s="421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42611</v>
      </c>
      <c r="D92" s="31">
        <v>8603.9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" customHeight="1">
      <c r="B94" s="419" t="s">
        <v>57</v>
      </c>
      <c r="C94" s="420"/>
      <c r="D94" s="148">
        <f>'[1]залишки  (2)'!$G$6/1000</f>
        <v>816.84997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183</v>
      </c>
      <c r="O3" s="447" t="s">
        <v>184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179</v>
      </c>
      <c r="F4" s="430" t="s">
        <v>34</v>
      </c>
      <c r="G4" s="423" t="s">
        <v>180</v>
      </c>
      <c r="H4" s="432" t="s">
        <v>181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189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182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1"/>
      <c r="P90" s="421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42578</v>
      </c>
      <c r="D92" s="31">
        <v>8357.1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14372.98265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 hidden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172</v>
      </c>
      <c r="N3" s="425" t="s">
        <v>173</v>
      </c>
      <c r="O3" s="425"/>
      <c r="P3" s="425"/>
      <c r="Q3" s="425"/>
      <c r="R3" s="425"/>
    </row>
    <row r="4" spans="1:18" ht="22.5" customHeight="1">
      <c r="A4" s="438"/>
      <c r="B4" s="440"/>
      <c r="C4" s="441"/>
      <c r="D4" s="442"/>
      <c r="E4" s="448" t="s">
        <v>170</v>
      </c>
      <c r="F4" s="451" t="s">
        <v>34</v>
      </c>
      <c r="G4" s="423" t="s">
        <v>171</v>
      </c>
      <c r="H4" s="432" t="s">
        <v>175</v>
      </c>
      <c r="I4" s="423" t="s">
        <v>122</v>
      </c>
      <c r="J4" s="432" t="s">
        <v>123</v>
      </c>
      <c r="K4" s="248" t="s">
        <v>65</v>
      </c>
      <c r="L4" s="283" t="s">
        <v>64</v>
      </c>
      <c r="M4" s="432"/>
      <c r="N4" s="434" t="s">
        <v>178</v>
      </c>
      <c r="O4" s="423" t="s">
        <v>50</v>
      </c>
      <c r="P4" s="425" t="s">
        <v>49</v>
      </c>
      <c r="Q4" s="284" t="s">
        <v>65</v>
      </c>
      <c r="R4" s="285" t="s">
        <v>64</v>
      </c>
    </row>
    <row r="5" spans="1:18" ht="67.5" customHeight="1">
      <c r="A5" s="439"/>
      <c r="B5" s="440"/>
      <c r="C5" s="441"/>
      <c r="D5" s="442"/>
      <c r="E5" s="449"/>
      <c r="F5" s="452"/>
      <c r="G5" s="424"/>
      <c r="H5" s="433"/>
      <c r="I5" s="424"/>
      <c r="J5" s="433"/>
      <c r="K5" s="426" t="s">
        <v>174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1"/>
      <c r="O89" s="421"/>
    </row>
    <row r="90" spans="3:15" ht="15">
      <c r="C90" s="87">
        <v>42550</v>
      </c>
      <c r="D90" s="31">
        <v>11029.3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42545</v>
      </c>
      <c r="D91" s="31">
        <v>6499.7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9447.89588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162</v>
      </c>
      <c r="N3" s="447" t="s">
        <v>163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158</v>
      </c>
      <c r="F4" s="453" t="s">
        <v>34</v>
      </c>
      <c r="G4" s="423" t="s">
        <v>159</v>
      </c>
      <c r="H4" s="432" t="s">
        <v>160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169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161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1"/>
      <c r="O89" s="421"/>
    </row>
    <row r="90" spans="3:15" ht="15">
      <c r="C90" s="87">
        <v>42520</v>
      </c>
      <c r="D90" s="31">
        <v>8891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42517</v>
      </c>
      <c r="D91" s="31">
        <v>7356.3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2811.04042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153</v>
      </c>
      <c r="N3" s="447" t="s">
        <v>154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150</v>
      </c>
      <c r="F4" s="453" t="s">
        <v>34</v>
      </c>
      <c r="G4" s="423" t="s">
        <v>151</v>
      </c>
      <c r="H4" s="432" t="s">
        <v>152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157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155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9"/>
      <c r="H84" s="429"/>
      <c r="I84" s="429"/>
      <c r="J84" s="42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1"/>
      <c r="O85" s="421"/>
    </row>
    <row r="86" spans="3:15" ht="15">
      <c r="C86" s="87">
        <v>42488</v>
      </c>
      <c r="D86" s="31">
        <v>11419.7</v>
      </c>
      <c r="F86" s="124" t="s">
        <v>59</v>
      </c>
      <c r="G86" s="415"/>
      <c r="H86" s="415"/>
      <c r="I86" s="131"/>
      <c r="J86" s="418"/>
      <c r="K86" s="418"/>
      <c r="L86" s="418"/>
      <c r="M86" s="418"/>
      <c r="N86" s="421"/>
      <c r="O86" s="421"/>
    </row>
    <row r="87" spans="3:15" ht="15.75" customHeight="1">
      <c r="C87" s="87">
        <v>42487</v>
      </c>
      <c r="D87" s="31">
        <v>7800.7</v>
      </c>
      <c r="F87" s="73"/>
      <c r="G87" s="415"/>
      <c r="H87" s="415"/>
      <c r="I87" s="131"/>
      <c r="J87" s="422"/>
      <c r="K87" s="422"/>
      <c r="L87" s="422"/>
      <c r="M87" s="422"/>
      <c r="N87" s="421"/>
      <c r="O87" s="421"/>
    </row>
    <row r="88" spans="3:13" ht="15.75" customHeight="1">
      <c r="C88" s="87"/>
      <c r="F88" s="73"/>
      <c r="G88" s="417"/>
      <c r="H88" s="417"/>
      <c r="I88" s="139"/>
      <c r="J88" s="418"/>
      <c r="K88" s="418"/>
      <c r="L88" s="418"/>
      <c r="M88" s="418"/>
    </row>
    <row r="89" spans="2:13" ht="18.75" customHeight="1">
      <c r="B89" s="419" t="s">
        <v>57</v>
      </c>
      <c r="C89" s="420"/>
      <c r="D89" s="148">
        <v>9087.9705</v>
      </c>
      <c r="E89" s="74"/>
      <c r="F89" s="140" t="s">
        <v>137</v>
      </c>
      <c r="G89" s="415"/>
      <c r="H89" s="415"/>
      <c r="I89" s="141"/>
      <c r="J89" s="418"/>
      <c r="K89" s="418"/>
      <c r="L89" s="418"/>
      <c r="M89" s="418"/>
    </row>
    <row r="90" spans="6:12" ht="9.75" customHeight="1">
      <c r="F90" s="73"/>
      <c r="G90" s="415"/>
      <c r="H90" s="415"/>
      <c r="I90" s="73"/>
      <c r="J90" s="74"/>
      <c r="K90" s="74"/>
      <c r="L90" s="74"/>
    </row>
    <row r="91" spans="2:12" ht="22.5" customHeight="1" hidden="1">
      <c r="B91" s="413" t="s">
        <v>60</v>
      </c>
      <c r="C91" s="414"/>
      <c r="D91" s="86">
        <v>0</v>
      </c>
      <c r="E91" s="56" t="s">
        <v>24</v>
      </c>
      <c r="F91" s="73"/>
      <c r="G91" s="415"/>
      <c r="H91" s="41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5"/>
      <c r="O92" s="415"/>
    </row>
    <row r="93" spans="4:15" ht="15">
      <c r="D93" s="83"/>
      <c r="I93" s="31"/>
      <c r="N93" s="416"/>
      <c r="O93" s="416"/>
    </row>
    <row r="94" spans="14:15" ht="15">
      <c r="N94" s="415"/>
      <c r="O94" s="415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147</v>
      </c>
      <c r="N3" s="447" t="s">
        <v>143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146</v>
      </c>
      <c r="F4" s="453" t="s">
        <v>34</v>
      </c>
      <c r="G4" s="423" t="s">
        <v>141</v>
      </c>
      <c r="H4" s="432" t="s">
        <v>142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144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1"/>
      <c r="O84" s="421"/>
    </row>
    <row r="85" spans="3:15" ht="15">
      <c r="C85" s="87">
        <v>42459</v>
      </c>
      <c r="D85" s="31">
        <v>7576.3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42458</v>
      </c>
      <c r="D86" s="31">
        <v>9190.1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f>4343.7</f>
        <v>4343.7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128</v>
      </c>
      <c r="N3" s="447" t="s">
        <v>119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127</v>
      </c>
      <c r="F4" s="453" t="s">
        <v>34</v>
      </c>
      <c r="G4" s="423" t="s">
        <v>116</v>
      </c>
      <c r="H4" s="432" t="s">
        <v>117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140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118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1"/>
      <c r="O84" s="421"/>
    </row>
    <row r="85" spans="3:15" ht="15">
      <c r="C85" s="87">
        <v>42426</v>
      </c>
      <c r="D85" s="31">
        <v>6256.2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42425</v>
      </c>
      <c r="D86" s="31">
        <v>3536.9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505.3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2016-10-19T11:43:19Z</cp:lastPrinted>
  <dcterms:created xsi:type="dcterms:W3CDTF">2003-07-28T11:27:56Z</dcterms:created>
  <dcterms:modified xsi:type="dcterms:W3CDTF">2016-10-20T08:02:18Z</dcterms:modified>
  <cp:category/>
  <cp:version/>
  <cp:contentType/>
  <cp:contentStatus/>
</cp:coreProperties>
</file>